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140"/>
  </bookViews>
  <sheets>
    <sheet name="TimingCheck" sheetId="5" r:id="rId1"/>
  </sheets>
  <calcPr calcId="162913"/>
</workbook>
</file>

<file path=xl/calcChain.xml><?xml version="1.0" encoding="utf-8"?>
<calcChain xmlns="http://schemas.openxmlformats.org/spreadsheetml/2006/main">
  <c r="M33" i="5" l="1"/>
  <c r="M24" i="5"/>
  <c r="M7" i="5"/>
  <c r="M21" i="5" l="1"/>
  <c r="M31" i="5"/>
  <c r="M22" i="5"/>
  <c r="M32" i="5"/>
  <c r="M23" i="5"/>
  <c r="C33" i="5"/>
  <c r="D32" i="5"/>
  <c r="C32" i="5"/>
  <c r="C31" i="5"/>
  <c r="B10" i="5" l="1"/>
  <c r="B12" i="5" l="1"/>
  <c r="D19" i="5" s="1"/>
  <c r="C18" i="5"/>
  <c r="B13" i="5"/>
  <c r="C21" i="5"/>
  <c r="C19" i="5"/>
  <c r="C27" i="5"/>
  <c r="B11" i="5"/>
  <c r="E26" i="5" l="1"/>
  <c r="G24" i="5"/>
  <c r="E24" i="5"/>
  <c r="G30" i="5"/>
  <c r="E28" i="5"/>
  <c r="G28" i="5" s="1"/>
  <c r="E23" i="5"/>
  <c r="G23" i="5" s="1"/>
  <c r="E30" i="5"/>
  <c r="E27" i="5"/>
  <c r="G27" i="5" s="1"/>
  <c r="E18" i="5"/>
  <c r="G18" i="5" s="1"/>
  <c r="E19" i="5"/>
  <c r="E21" i="5"/>
  <c r="F22" i="5"/>
  <c r="E22" i="5"/>
  <c r="F19" i="5"/>
  <c r="G19" i="5" l="1"/>
  <c r="C20" i="5" s="1"/>
  <c r="E20" i="5" s="1"/>
  <c r="G20" i="5" s="1"/>
  <c r="E32" i="5"/>
  <c r="E33" i="5"/>
  <c r="G33" i="5" s="1"/>
  <c r="E31" i="5"/>
  <c r="G31" i="5" s="1"/>
  <c r="F32" i="5"/>
  <c r="G22" i="5"/>
  <c r="G21" i="5" l="1"/>
  <c r="C25" i="5"/>
  <c r="E25" i="5" s="1"/>
  <c r="G25" i="5" s="1"/>
  <c r="G26" i="5" s="1"/>
  <c r="G32" i="5"/>
</calcChain>
</file>

<file path=xl/sharedStrings.xml><?xml version="1.0" encoding="utf-8"?>
<sst xmlns="http://schemas.openxmlformats.org/spreadsheetml/2006/main" count="97" uniqueCount="92">
  <si>
    <t>H_Total</t>
    <phoneticPr fontId="1" type="noConversion"/>
  </si>
  <si>
    <t>V_Total</t>
  </si>
  <si>
    <t>FPS</t>
  </si>
  <si>
    <t>BitsPerPixel</t>
  </si>
  <si>
    <t>lane number</t>
  </si>
  <si>
    <t>Bitrate = (H_Total)*(V_Total)*FPS* BitsPerPixel/lane number</t>
    <phoneticPr fontId="1" type="noConversion"/>
  </si>
  <si>
    <t>Bitrate</t>
    <phoneticPr fontId="1" type="noConversion"/>
  </si>
  <si>
    <t>ns</t>
    <phoneticPr fontId="1" type="noConversion"/>
  </si>
  <si>
    <t>HsZero</t>
    <phoneticPr fontId="1" type="noConversion"/>
  </si>
  <si>
    <t>ClkHsPrpr</t>
    <phoneticPr fontId="1" type="noConversion"/>
  </si>
  <si>
    <t>ClkHsExit</t>
    <phoneticPr fontId="1" type="noConversion"/>
  </si>
  <si>
    <t>ClkTrail</t>
    <phoneticPr fontId="1" type="noConversion"/>
  </si>
  <si>
    <t>ClkZero</t>
    <phoneticPr fontId="1" type="noConversion"/>
  </si>
  <si>
    <t>ClkHsPost</t>
    <phoneticPr fontId="1" type="noConversion"/>
  </si>
  <si>
    <t>DaHsExit</t>
    <phoneticPr fontId="1" type="noConversion"/>
  </si>
  <si>
    <t>HsTrail</t>
    <phoneticPr fontId="1" type="noConversion"/>
  </si>
  <si>
    <t>min</t>
    <phoneticPr fontId="1" type="noConversion"/>
  </si>
  <si>
    <t>max</t>
    <phoneticPr fontId="1" type="noConversion"/>
  </si>
  <si>
    <t>Absolute time</t>
    <phoneticPr fontId="1" type="noConversion"/>
  </si>
  <si>
    <t>40ns+4UI~85ns+6UI</t>
    <phoneticPr fontId="1" type="noConversion"/>
  </si>
  <si>
    <t>38ns~95ns</t>
    <phoneticPr fontId="1" type="noConversion"/>
  </si>
  <si>
    <t>100ns~</t>
    <phoneticPr fontId="1" type="noConversion"/>
  </si>
  <si>
    <t>60ns~</t>
    <phoneticPr fontId="1" type="noConversion"/>
  </si>
  <si>
    <t>UI=1/Bitrate</t>
    <phoneticPr fontId="1" type="noConversion"/>
  </si>
  <si>
    <t>Parameter</t>
    <phoneticPr fontId="1" type="noConversion"/>
  </si>
  <si>
    <t>min(ns)</t>
    <phoneticPr fontId="1" type="noConversion"/>
  </si>
  <si>
    <t>max(ns)</t>
    <phoneticPr fontId="1" type="noConversion"/>
  </si>
  <si>
    <t>60ns+52UI~</t>
    <phoneticPr fontId="1" type="noConversion"/>
  </si>
  <si>
    <t>HsPrpr</t>
    <phoneticPr fontId="1" type="noConversion"/>
  </si>
  <si>
    <t>clcok</t>
    <phoneticPr fontId="1" type="noConversion"/>
  </si>
  <si>
    <t>8UI</t>
    <phoneticPr fontId="1" type="noConversion"/>
  </si>
  <si>
    <t>stMipiDsiConfig</t>
    <phoneticPr fontId="1" type="noConversion"/>
  </si>
  <si>
    <t>:根据MIPI Panel分辨率填写</t>
    <phoneticPr fontId="1" type="noConversion"/>
  </si>
  <si>
    <t>:根据计算结果挑选，写入屏参</t>
    <phoneticPr fontId="1" type="noConversion"/>
  </si>
  <si>
    <t>hz</t>
    <phoneticPr fontId="1" type="noConversion"/>
  </si>
  <si>
    <t>HsPrpr+HsZero</t>
    <phoneticPr fontId="1" type="noConversion"/>
  </si>
  <si>
    <t>推荐值</t>
    <phoneticPr fontId="1" type="noConversion"/>
  </si>
  <si>
    <t>:推荐值</t>
    <phoneticPr fontId="1" type="noConversion"/>
  </si>
  <si>
    <t>300ns-ClkHsPrpr</t>
    <phoneticPr fontId="1" type="noConversion"/>
  </si>
  <si>
    <t>300ns~</t>
    <phoneticPr fontId="1" type="noConversion"/>
  </si>
  <si>
    <t>ClkPrpr+ClkZero</t>
    <phoneticPr fontId="1" type="noConversion"/>
  </si>
  <si>
    <t xml:space="preserve">BitsPerPixel=24(RGB888)/18(RGB666)/16(RGB565) </t>
    <phoneticPr fontId="1" type="noConversion"/>
  </si>
  <si>
    <t>ContDet</t>
    <phoneticPr fontId="1" type="noConversion"/>
  </si>
  <si>
    <t>LPX</t>
    <phoneticPr fontId="1" type="noConversion"/>
  </si>
  <si>
    <t>50ns~</t>
    <phoneticPr fontId="1" type="noConversion"/>
  </si>
  <si>
    <t>TaGet</t>
    <phoneticPr fontId="1" type="noConversion"/>
  </si>
  <si>
    <t>5LPX</t>
    <phoneticPr fontId="1" type="noConversion"/>
  </si>
  <si>
    <t>TaSure</t>
    <phoneticPr fontId="1" type="noConversion"/>
  </si>
  <si>
    <t>1LPX~2LPX</t>
    <phoneticPr fontId="1" type="noConversion"/>
  </si>
  <si>
    <t>TaGo</t>
    <phoneticPr fontId="1" type="noConversion"/>
  </si>
  <si>
    <t>4LPX</t>
    <phoneticPr fontId="1" type="noConversion"/>
  </si>
  <si>
    <t>max(8n*UI, 60ns+4n*UI)~</t>
    <phoneticPr fontId="1" type="noConversion"/>
  </si>
  <si>
    <t>145ns+10UI~</t>
    <phoneticPr fontId="1" type="noConversion"/>
  </si>
  <si>
    <t>145ns+10UI-HsPrpr</t>
    <phoneticPr fontId="1" type="noConversion"/>
  </si>
  <si>
    <t>sync_pluse</t>
  </si>
  <si>
    <t>m_eCtrlMode</t>
  </si>
  <si>
    <t>cmd_mode</t>
  </si>
  <si>
    <t>sync_event</t>
  </si>
  <si>
    <t>burst_mode</t>
  </si>
  <si>
    <t xml:space="preserve">m_wHpw </t>
  </si>
  <si>
    <t>HFP_WC</t>
    <phoneticPr fontId="8" type="noConversion"/>
  </si>
  <si>
    <t>HsPrpr+HsZero≥145ns+10UI</t>
    <phoneticPr fontId="1" type="noConversion"/>
  </si>
  <si>
    <t>ClkPrpr+ClkZero≥300ns</t>
    <phoneticPr fontId="1" type="noConversion"/>
  </si>
  <si>
    <t>表格3</t>
    <phoneticPr fontId="8" type="noConversion"/>
  </si>
  <si>
    <t>BPP</t>
    <phoneticPr fontId="8" type="noConversion"/>
  </si>
  <si>
    <t>m_wHbp</t>
    <phoneticPr fontId="8" type="noConversion"/>
  </si>
  <si>
    <t>m_wHfp</t>
    <phoneticPr fontId="8" type="noConversion"/>
  </si>
  <si>
    <t>m_wHact</t>
    <phoneticPr fontId="8" type="noConversion"/>
  </si>
  <si>
    <t>表格4</t>
    <phoneticPr fontId="8" type="noConversion"/>
  </si>
  <si>
    <t>SYNC-PULSE word count parameters</t>
    <phoneticPr fontId="8" type="noConversion"/>
  </si>
  <si>
    <t>Value(HEX)</t>
    <phoneticPr fontId="8" type="noConversion"/>
  </si>
  <si>
    <t>調整方法說明：</t>
    <phoneticPr fontId="8" type="noConversion"/>
  </si>
  <si>
    <t>HBP_WC</t>
    <phoneticPr fontId="8" type="noConversion"/>
  </si>
  <si>
    <t>RGB_WC</t>
    <phoneticPr fontId="8" type="noConversion"/>
  </si>
  <si>
    <t>NA</t>
    <phoneticPr fontId="8" type="noConversion"/>
  </si>
  <si>
    <t>表格5</t>
    <phoneticPr fontId="8" type="noConversion"/>
  </si>
  <si>
    <t>SYNC-EVENT or BURST word count parameters</t>
    <phoneticPr fontId="8" type="noConversion"/>
  </si>
  <si>
    <t>Value(HEX)</t>
    <phoneticPr fontId="8" type="noConversion"/>
  </si>
  <si>
    <t>HAS_WC</t>
    <phoneticPr fontId="8" type="noConversion"/>
  </si>
  <si>
    <t>Don't care</t>
    <phoneticPr fontId="8" type="noConversion"/>
  </si>
  <si>
    <t xml:space="preserve">
</t>
    <phoneticPr fontId="8" type="noConversion"/>
  </si>
  <si>
    <t>HBP_WC</t>
    <phoneticPr fontId="8" type="noConversion"/>
  </si>
  <si>
    <t>RGB_WC</t>
    <phoneticPr fontId="8" type="noConversion"/>
  </si>
  <si>
    <t>NA</t>
    <phoneticPr fontId="8" type="noConversion"/>
  </si>
  <si>
    <t>HFP_WC</t>
    <phoneticPr fontId="8" type="noConversion"/>
  </si>
  <si>
    <t>※儲存格M31～N33不允許出現紅色背景。</t>
    <phoneticPr fontId="8" type="noConversion"/>
  </si>
  <si>
    <t>HSA_WC</t>
    <phoneticPr fontId="8" type="noConversion"/>
  </si>
  <si>
    <t>若儲存格M21小於0，儲存格M8加大。</t>
    <phoneticPr fontId="8" type="noConversion"/>
  </si>
  <si>
    <t>若儲存格M22小於0，儲存格M9加大。</t>
    <phoneticPr fontId="8" type="noConversion"/>
  </si>
  <si>
    <t>若M24小于0，減小G23/G30/G19/G20,或者调整hfp hbp htotal</t>
    <phoneticPr fontId="8" type="noConversion"/>
  </si>
  <si>
    <t>※M21～M24不允許出現紅色背景。</t>
    <phoneticPr fontId="8" type="noConversion"/>
  </si>
  <si>
    <t>若儲存格M31小於0，儲存格M9加大。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</si>
</sst>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050000000000001"/>
      <color rgb="FF000000"/>
      <name val="Tahoma"/>
      <family val="2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trike/>
      <sz val="11"/>
      <color theme="0" tint="-0.34998626667073579"/>
      <name val="宋体"/>
      <family val="2"/>
      <scheme val="minor"/>
    </font>
    <font>
      <sz val="11"/>
      <color theme="0" tint="-0.34998626667073579"/>
      <name val="宋体"/>
      <family val="3"/>
      <charset val="134"/>
      <scheme val="minor"/>
    </font>
    <font>
      <b/>
      <sz val="11"/>
      <color theme="0" tint="-0.34998626667073579"/>
      <name val="宋体"/>
      <family val="3"/>
      <charset val="134"/>
      <scheme val="minor"/>
    </font>
    <font>
      <sz val="9"/>
      <name val="宋体"/>
      <family val="3"/>
      <charset val="136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7" borderId="1" xfId="0" applyFont="1" applyFill="1" applyBorder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9" fillId="3" borderId="7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0" fontId="0" fillId="0" borderId="0" xfId="0" applyAlignment="1"/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1">
    <cellStyle name="常规" xfId="0" builtinId="0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tabSelected="1" topLeftCell="B4" zoomScale="115" zoomScaleNormal="115" workbookViewId="0">
      <selection activeCell="H11" sqref="H11"/>
    </sheetView>
  </sheetViews>
  <sheetFormatPr defaultRowHeight="13.5" x14ac:dyDescent="0.15"/>
  <cols>
    <col min="1" max="1" width="15.5" customWidth="1"/>
    <col min="2" max="2" width="23.875" customWidth="1"/>
    <col min="3" max="3" width="12.375" style="3" customWidth="1"/>
    <col min="4" max="4" width="12.75" style="3" customWidth="1"/>
    <col min="5" max="5" width="11.625" style="3" customWidth="1"/>
    <col min="6" max="6" width="12.5" style="3" customWidth="1"/>
    <col min="7" max="10" width="8.625" customWidth="1"/>
    <col min="12" max="12" width="11.875" customWidth="1"/>
    <col min="13" max="13" width="13.75" customWidth="1"/>
    <col min="14" max="14" width="12.5" style="81" customWidth="1"/>
    <col min="15" max="15" width="12.25" style="81" customWidth="1"/>
    <col min="16" max="16" width="13.875" style="81" customWidth="1"/>
    <col min="17" max="17" width="16.5" style="81" customWidth="1"/>
  </cols>
  <sheetData>
    <row r="2" spans="1:17" ht="14.25" x14ac:dyDescent="0.2">
      <c r="A2" s="37" t="s">
        <v>41</v>
      </c>
      <c r="B2" s="37"/>
      <c r="C2" s="37"/>
      <c r="E2" s="16"/>
      <c r="F2" s="38" t="s">
        <v>32</v>
      </c>
      <c r="G2" s="38"/>
      <c r="H2" s="38"/>
      <c r="I2" s="38"/>
    </row>
    <row r="3" spans="1:17" ht="14.25" x14ac:dyDescent="0.2">
      <c r="A3" s="37" t="s">
        <v>5</v>
      </c>
      <c r="B3" s="37"/>
      <c r="C3" s="37"/>
      <c r="E3" s="17"/>
      <c r="F3" s="38" t="s">
        <v>33</v>
      </c>
      <c r="G3" s="38"/>
      <c r="H3" s="38"/>
      <c r="I3" s="38"/>
    </row>
    <row r="4" spans="1:17" x14ac:dyDescent="0.15">
      <c r="A4" s="4" t="s">
        <v>0</v>
      </c>
      <c r="B4" s="13">
        <v>808</v>
      </c>
      <c r="C4" s="41"/>
      <c r="E4" s="21"/>
      <c r="F4" s="38" t="s">
        <v>37</v>
      </c>
      <c r="G4" s="38"/>
      <c r="H4" s="38"/>
      <c r="I4" s="38"/>
    </row>
    <row r="5" spans="1:17" ht="14.25" thickBot="1" x14ac:dyDescent="0.2">
      <c r="A5" s="4" t="s">
        <v>1</v>
      </c>
      <c r="B5" s="13">
        <v>1314</v>
      </c>
      <c r="C5" s="41"/>
    </row>
    <row r="6" spans="1:17" ht="14.25" thickBot="1" x14ac:dyDescent="0.2">
      <c r="A6" s="4" t="s">
        <v>2</v>
      </c>
      <c r="B6" s="13">
        <v>60</v>
      </c>
      <c r="C6" s="41"/>
      <c r="L6" s="48" t="s">
        <v>63</v>
      </c>
      <c r="M6" s="49"/>
      <c r="N6" s="50"/>
      <c r="O6" s="50"/>
      <c r="P6" s="50"/>
      <c r="Q6" s="50"/>
    </row>
    <row r="7" spans="1:17" x14ac:dyDescent="0.15">
      <c r="A7" s="4" t="s">
        <v>3</v>
      </c>
      <c r="B7" s="13">
        <v>24</v>
      </c>
      <c r="C7" s="41"/>
      <c r="L7" s="51" t="s">
        <v>64</v>
      </c>
      <c r="M7" s="52">
        <f>B7/8</f>
        <v>3</v>
      </c>
      <c r="N7" s="50"/>
      <c r="O7" s="50"/>
      <c r="P7" s="50"/>
      <c r="Q7" s="50"/>
    </row>
    <row r="8" spans="1:17" x14ac:dyDescent="0.15">
      <c r="A8" s="4" t="s">
        <v>4</v>
      </c>
      <c r="B8" s="13">
        <v>4</v>
      </c>
      <c r="C8" s="41"/>
      <c r="L8" s="53" t="s">
        <v>59</v>
      </c>
      <c r="M8" s="54">
        <v>8</v>
      </c>
      <c r="N8" s="50"/>
      <c r="O8" s="50"/>
      <c r="P8" s="50"/>
      <c r="Q8" s="50"/>
    </row>
    <row r="9" spans="1:17" x14ac:dyDescent="0.15">
      <c r="A9" s="4" t="s">
        <v>55</v>
      </c>
      <c r="B9" s="43" t="s">
        <v>54</v>
      </c>
      <c r="C9" s="42" t="s">
        <v>56</v>
      </c>
      <c r="D9" s="40" t="s">
        <v>54</v>
      </c>
      <c r="E9" s="40" t="s">
        <v>57</v>
      </c>
      <c r="F9" s="40" t="s">
        <v>58</v>
      </c>
      <c r="L9" s="53" t="s">
        <v>65</v>
      </c>
      <c r="M9" s="54">
        <v>30</v>
      </c>
      <c r="N9" s="50"/>
      <c r="O9" s="50"/>
      <c r="P9" s="50"/>
      <c r="Q9" s="50"/>
    </row>
    <row r="10" spans="1:17" x14ac:dyDescent="0.15">
      <c r="A10" s="4" t="s">
        <v>6</v>
      </c>
      <c r="B10" s="4">
        <f>B4*B5*B6*B7/B8</f>
        <v>382216320</v>
      </c>
      <c r="C10" s="41"/>
      <c r="L10" s="53" t="s">
        <v>66</v>
      </c>
      <c r="M10" s="54">
        <v>50</v>
      </c>
      <c r="N10" s="50"/>
      <c r="O10" s="50"/>
      <c r="P10" s="50"/>
      <c r="Q10" s="50"/>
    </row>
    <row r="11" spans="1:17" ht="14.25" thickBot="1" x14ac:dyDescent="0.2">
      <c r="A11" s="4" t="s">
        <v>29</v>
      </c>
      <c r="B11" s="4">
        <f>B10/2</f>
        <v>191108160</v>
      </c>
      <c r="C11" s="41" t="s">
        <v>34</v>
      </c>
      <c r="L11" s="55" t="s">
        <v>67</v>
      </c>
      <c r="M11" s="56">
        <v>720</v>
      </c>
      <c r="N11" s="50"/>
      <c r="O11" s="50"/>
      <c r="P11" s="50"/>
      <c r="Q11" s="50"/>
    </row>
    <row r="12" spans="1:17" x14ac:dyDescent="0.15">
      <c r="A12" s="4" t="s">
        <v>23</v>
      </c>
      <c r="B12" s="4">
        <f>ROUND(1/B10*1000000000,2)</f>
        <v>2.62</v>
      </c>
      <c r="C12" s="41" t="s">
        <v>7</v>
      </c>
      <c r="L12" s="50"/>
      <c r="M12" s="50"/>
      <c r="N12" s="50"/>
      <c r="O12" s="50"/>
      <c r="P12" s="50"/>
      <c r="Q12" s="50"/>
    </row>
    <row r="13" spans="1:17" x14ac:dyDescent="0.15">
      <c r="A13" s="4" t="s">
        <v>30</v>
      </c>
      <c r="B13" s="4">
        <f>8*B12</f>
        <v>20.96</v>
      </c>
      <c r="C13" s="41" t="s">
        <v>7</v>
      </c>
      <c r="L13" s="50"/>
      <c r="M13" s="50"/>
      <c r="N13" s="50"/>
      <c r="O13" s="50"/>
      <c r="P13" s="50"/>
      <c r="Q13" s="50"/>
    </row>
    <row r="14" spans="1:17" x14ac:dyDescent="0.15">
      <c r="L14" s="50"/>
      <c r="M14" s="50"/>
      <c r="N14" s="50"/>
      <c r="O14" s="50"/>
      <c r="P14" s="50"/>
      <c r="Q14" s="50"/>
    </row>
    <row r="15" spans="1:17" x14ac:dyDescent="0.15">
      <c r="G15" s="19"/>
      <c r="L15" s="50"/>
      <c r="M15" s="50"/>
      <c r="N15" s="50"/>
      <c r="O15" s="50"/>
      <c r="P15" s="50"/>
      <c r="Q15" s="50"/>
    </row>
    <row r="16" spans="1:17" ht="14.25" thickBot="1" x14ac:dyDescent="0.2">
      <c r="A16" s="4"/>
      <c r="B16" s="1" t="s">
        <v>24</v>
      </c>
      <c r="C16" s="32" t="s">
        <v>18</v>
      </c>
      <c r="D16" s="32"/>
      <c r="E16" s="39" t="s">
        <v>31</v>
      </c>
      <c r="F16" s="39"/>
      <c r="G16" s="19"/>
      <c r="L16" s="50"/>
      <c r="M16" s="50"/>
      <c r="N16" s="50"/>
      <c r="O16" s="50"/>
      <c r="P16" s="50"/>
      <c r="Q16" s="50"/>
    </row>
    <row r="17" spans="1:17" ht="16.5" customHeight="1" x14ac:dyDescent="0.15">
      <c r="A17" s="1"/>
      <c r="B17" s="1"/>
      <c r="C17" s="18" t="s">
        <v>25</v>
      </c>
      <c r="D17" s="18" t="s">
        <v>26</v>
      </c>
      <c r="E17" s="18" t="s">
        <v>16</v>
      </c>
      <c r="F17" s="18" t="s">
        <v>17</v>
      </c>
      <c r="G17" s="20" t="s">
        <v>36</v>
      </c>
      <c r="L17" s="57" t="s">
        <v>68</v>
      </c>
      <c r="M17" s="58"/>
      <c r="N17" s="58"/>
      <c r="O17" s="58"/>
      <c r="P17" s="58"/>
      <c r="Q17" s="59"/>
    </row>
    <row r="18" spans="1:17" s="11" customFormat="1" ht="14.25" thickBot="1" x14ac:dyDescent="0.2">
      <c r="A18" s="9" t="s">
        <v>15</v>
      </c>
      <c r="B18" s="10" t="s">
        <v>51</v>
      </c>
      <c r="C18" s="20">
        <f>MAX(8*B12,60+4*B12)</f>
        <v>70.48</v>
      </c>
      <c r="D18" s="31"/>
      <c r="E18" s="27">
        <f>ROUNDUP(C18/B13,0)</f>
        <v>4</v>
      </c>
      <c r="F18" s="30"/>
      <c r="G18" s="21">
        <f>E18</f>
        <v>4</v>
      </c>
      <c r="L18" s="60" t="s">
        <v>69</v>
      </c>
      <c r="M18" s="61"/>
      <c r="N18" s="61"/>
      <c r="O18" s="61"/>
      <c r="P18" s="61"/>
      <c r="Q18" s="62"/>
    </row>
    <row r="19" spans="1:17" x14ac:dyDescent="0.15">
      <c r="A19" s="1" t="s">
        <v>28</v>
      </c>
      <c r="B19" s="1" t="s">
        <v>19</v>
      </c>
      <c r="C19" s="18">
        <f>40+4*B12</f>
        <v>50.480000000000004</v>
      </c>
      <c r="D19" s="18">
        <f>85+6*B12</f>
        <v>100.72</v>
      </c>
      <c r="E19" s="15">
        <f>ROUNDUP(C19/B13,0)</f>
        <v>3</v>
      </c>
      <c r="F19" s="15">
        <f>ROUNDDOWN(D19/B13,0)</f>
        <v>4</v>
      </c>
      <c r="G19" s="21">
        <f>ROUNDUP((E19+F19)/2,0)</f>
        <v>4</v>
      </c>
      <c r="L19" s="63"/>
      <c r="M19" s="64"/>
      <c r="N19" s="65" t="s">
        <v>90</v>
      </c>
      <c r="O19" s="66"/>
      <c r="P19" s="66"/>
      <c r="Q19" s="67"/>
    </row>
    <row r="20" spans="1:17" s="8" customFormat="1" ht="15.75" customHeight="1" x14ac:dyDescent="0.15">
      <c r="A20" s="6" t="s">
        <v>8</v>
      </c>
      <c r="B20" s="7" t="s">
        <v>53</v>
      </c>
      <c r="C20" s="5">
        <f>145+10*B12-G19*B13</f>
        <v>87.359999999999985</v>
      </c>
      <c r="D20" s="5"/>
      <c r="E20" s="15">
        <f>ROUNDUP(C20/B13,0)</f>
        <v>5</v>
      </c>
      <c r="F20" s="15"/>
      <c r="G20" s="21">
        <f>E20+3</f>
        <v>8</v>
      </c>
      <c r="L20" s="68"/>
      <c r="M20" s="69" t="s">
        <v>70</v>
      </c>
      <c r="N20" s="70" t="s">
        <v>71</v>
      </c>
      <c r="O20" s="71"/>
      <c r="P20" s="71"/>
      <c r="Q20" s="72"/>
    </row>
    <row r="21" spans="1:17" x14ac:dyDescent="0.15">
      <c r="A21" s="22" t="s">
        <v>35</v>
      </c>
      <c r="B21" s="23" t="s">
        <v>52</v>
      </c>
      <c r="C21" s="24">
        <f>145+10*B12</f>
        <v>171.2</v>
      </c>
      <c r="D21" s="24"/>
      <c r="E21" s="25">
        <f>ROUNDUP(C21/B13,0)</f>
        <v>9</v>
      </c>
      <c r="F21" s="25"/>
      <c r="G21" s="26">
        <f>G19+G20</f>
        <v>12</v>
      </c>
      <c r="H21" s="45" t="s">
        <v>61</v>
      </c>
      <c r="I21" s="47"/>
      <c r="J21" s="47"/>
      <c r="K21" s="46"/>
      <c r="L21" s="73" t="s">
        <v>86</v>
      </c>
      <c r="M21" s="74" t="str">
        <f>DEC2HEX(M8*M7-10)</f>
        <v>E</v>
      </c>
      <c r="N21" s="82" t="s">
        <v>87</v>
      </c>
      <c r="O21" s="83"/>
      <c r="P21" s="83"/>
      <c r="Q21" s="84"/>
    </row>
    <row r="22" spans="1:17" x14ac:dyDescent="0.15">
      <c r="A22" s="1" t="s">
        <v>9</v>
      </c>
      <c r="B22" s="1" t="s">
        <v>20</v>
      </c>
      <c r="C22" s="18">
        <v>38</v>
      </c>
      <c r="D22" s="18">
        <v>95</v>
      </c>
      <c r="E22" s="15">
        <f>ROUNDUP(C22/B13,0)</f>
        <v>2</v>
      </c>
      <c r="F22" s="15">
        <f>ROUNDDOWN(D22/B13,0)</f>
        <v>4</v>
      </c>
      <c r="G22" s="21">
        <f>ROUNDUP((E22+F22)/2,0)</f>
        <v>3</v>
      </c>
      <c r="L22" s="73" t="s">
        <v>72</v>
      </c>
      <c r="M22" s="74" t="str">
        <f>DEC2HEX(M9*M7-10)</f>
        <v>50</v>
      </c>
      <c r="N22" s="75" t="s">
        <v>88</v>
      </c>
      <c r="O22" s="76"/>
      <c r="P22" s="76"/>
      <c r="Q22" s="77"/>
    </row>
    <row r="23" spans="1:17" x14ac:dyDescent="0.15">
      <c r="A23" s="1" t="s">
        <v>10</v>
      </c>
      <c r="B23" s="2" t="s">
        <v>21</v>
      </c>
      <c r="C23" s="18">
        <v>100</v>
      </c>
      <c r="D23" s="12"/>
      <c r="E23" s="15">
        <f>ROUNDUP(C23/B13,0)</f>
        <v>5</v>
      </c>
      <c r="F23" s="14"/>
      <c r="G23" s="21">
        <f>E23</f>
        <v>5</v>
      </c>
      <c r="L23" s="73" t="s">
        <v>73</v>
      </c>
      <c r="M23" s="74" t="str">
        <f>DEC2HEX(M11*M7)</f>
        <v>870</v>
      </c>
      <c r="N23" s="75" t="s">
        <v>74</v>
      </c>
      <c r="O23" s="76"/>
      <c r="P23" s="76"/>
      <c r="Q23" s="77"/>
    </row>
    <row r="24" spans="1:17" ht="14.25" thickBot="1" x14ac:dyDescent="0.2">
      <c r="A24" s="1" t="s">
        <v>11</v>
      </c>
      <c r="B24" s="1" t="s">
        <v>22</v>
      </c>
      <c r="C24" s="18">
        <v>60</v>
      </c>
      <c r="D24" s="12"/>
      <c r="E24" s="15">
        <f>ROUNDUP(C24/B13,0)</f>
        <v>3</v>
      </c>
      <c r="F24" s="14"/>
      <c r="G24" s="21">
        <f>ROUNDUP(C24*2/B13,0)</f>
        <v>6</v>
      </c>
      <c r="L24" s="78" t="s">
        <v>60</v>
      </c>
      <c r="M24" s="79" t="str">
        <f>DEC2HEX(M10*M7-12-(G23+G30+G19+G20)*B8)</f>
        <v>3A</v>
      </c>
      <c r="N24" s="60" t="s">
        <v>89</v>
      </c>
      <c r="O24" s="61"/>
      <c r="P24" s="61"/>
      <c r="Q24" s="62"/>
    </row>
    <row r="25" spans="1:17" ht="14.25" thickBot="1" x14ac:dyDescent="0.2">
      <c r="A25" s="1" t="s">
        <v>12</v>
      </c>
      <c r="B25" s="2" t="s">
        <v>38</v>
      </c>
      <c r="C25" s="18">
        <f>(300-G22*B13)</f>
        <v>237.12</v>
      </c>
      <c r="D25" s="18"/>
      <c r="E25" s="15">
        <f>ROUNDUP(C25/B13,0)</f>
        <v>12</v>
      </c>
      <c r="F25" s="15"/>
      <c r="G25" s="21">
        <f>E25+2</f>
        <v>14</v>
      </c>
      <c r="L25" s="50"/>
      <c r="M25" s="80"/>
      <c r="N25" s="50"/>
      <c r="O25" s="50"/>
      <c r="P25" s="50"/>
      <c r="Q25" s="50"/>
    </row>
    <row r="26" spans="1:17" ht="16.5" customHeight="1" x14ac:dyDescent="0.15">
      <c r="A26" s="22" t="s">
        <v>40</v>
      </c>
      <c r="B26" s="23" t="s">
        <v>39</v>
      </c>
      <c r="C26" s="24">
        <v>300</v>
      </c>
      <c r="D26" s="24"/>
      <c r="E26" s="25">
        <f>ROUNDUP(C26/B13,0)</f>
        <v>15</v>
      </c>
      <c r="F26" s="25"/>
      <c r="G26" s="26">
        <f>G22+G25</f>
        <v>17</v>
      </c>
      <c r="H26" s="45" t="s">
        <v>62</v>
      </c>
      <c r="I26" s="44"/>
      <c r="J26" s="44"/>
      <c r="L26" s="57" t="s">
        <v>75</v>
      </c>
      <c r="M26" s="58"/>
      <c r="N26" s="58"/>
      <c r="O26" s="58"/>
      <c r="P26" s="58"/>
      <c r="Q26" s="59"/>
    </row>
    <row r="27" spans="1:17" ht="14.25" thickBot="1" x14ac:dyDescent="0.2">
      <c r="A27" s="1" t="s">
        <v>13</v>
      </c>
      <c r="B27" s="1" t="s">
        <v>27</v>
      </c>
      <c r="C27" s="18">
        <f>60+52*B12</f>
        <v>196.24</v>
      </c>
      <c r="D27" s="12"/>
      <c r="E27" s="15">
        <f>ROUNDUP(C27/B13,0)</f>
        <v>10</v>
      </c>
      <c r="F27" s="14"/>
      <c r="G27" s="21">
        <f>E27+2</f>
        <v>12</v>
      </c>
      <c r="L27" s="60" t="s">
        <v>76</v>
      </c>
      <c r="M27" s="61"/>
      <c r="N27" s="61"/>
      <c r="O27" s="61"/>
      <c r="P27" s="61"/>
      <c r="Q27" s="62"/>
    </row>
    <row r="28" spans="1:17" x14ac:dyDescent="0.15">
      <c r="A28" s="1" t="s">
        <v>14</v>
      </c>
      <c r="B28" s="1" t="s">
        <v>21</v>
      </c>
      <c r="C28" s="18">
        <v>100</v>
      </c>
      <c r="D28" s="12"/>
      <c r="E28" s="15">
        <f>ROUNDUP(C28/B13,0)</f>
        <v>5</v>
      </c>
      <c r="F28" s="14"/>
      <c r="G28" s="21">
        <f>E28</f>
        <v>5</v>
      </c>
      <c r="L28" s="63"/>
      <c r="M28" s="64"/>
      <c r="N28" s="65" t="s">
        <v>85</v>
      </c>
      <c r="O28" s="66"/>
      <c r="P28" s="66"/>
      <c r="Q28" s="67"/>
    </row>
    <row r="29" spans="1:17" ht="15" customHeight="1" x14ac:dyDescent="0.15">
      <c r="A29" s="1" t="s">
        <v>42</v>
      </c>
      <c r="B29" s="1"/>
      <c r="C29" s="28"/>
      <c r="D29" s="28"/>
      <c r="E29" s="17"/>
      <c r="F29" s="17"/>
      <c r="G29" s="29">
        <v>0</v>
      </c>
      <c r="L29" s="68"/>
      <c r="M29" s="69" t="s">
        <v>77</v>
      </c>
      <c r="N29" s="70" t="s">
        <v>71</v>
      </c>
      <c r="O29" s="71"/>
      <c r="P29" s="71"/>
      <c r="Q29" s="72"/>
    </row>
    <row r="30" spans="1:17" x14ac:dyDescent="0.15">
      <c r="A30" s="1" t="s">
        <v>43</v>
      </c>
      <c r="B30" s="1" t="s">
        <v>44</v>
      </c>
      <c r="C30" s="28">
        <v>50</v>
      </c>
      <c r="D30" s="28"/>
      <c r="E30" s="17">
        <f>ROUNDUP(C30/B13,0)</f>
        <v>3</v>
      </c>
      <c r="F30" s="17"/>
      <c r="G30" s="29">
        <f>ROUNDUP(62.5/B13,0)</f>
        <v>3</v>
      </c>
      <c r="L30" s="73" t="s">
        <v>78</v>
      </c>
      <c r="M30" s="74" t="s">
        <v>79</v>
      </c>
      <c r="N30" s="82" t="s">
        <v>80</v>
      </c>
      <c r="O30" s="83"/>
      <c r="P30" s="83"/>
      <c r="Q30" s="84"/>
    </row>
    <row r="31" spans="1:17" x14ac:dyDescent="0.15">
      <c r="A31" s="1" t="s">
        <v>45</v>
      </c>
      <c r="B31" s="1" t="s">
        <v>46</v>
      </c>
      <c r="C31" s="32">
        <f>5*C30</f>
        <v>250</v>
      </c>
      <c r="D31" s="32"/>
      <c r="E31" s="35">
        <f>5*G30</f>
        <v>15</v>
      </c>
      <c r="F31" s="36"/>
      <c r="G31" s="29">
        <f>E31</f>
        <v>15</v>
      </c>
      <c r="L31" s="73" t="s">
        <v>81</v>
      </c>
      <c r="M31" s="74" t="str">
        <f>DEC2HEX((M8+M9)*M7-10)</f>
        <v>68</v>
      </c>
      <c r="N31" s="75" t="s">
        <v>91</v>
      </c>
      <c r="O31" s="76"/>
      <c r="P31" s="76"/>
      <c r="Q31" s="77"/>
    </row>
    <row r="32" spans="1:17" x14ac:dyDescent="0.15">
      <c r="A32" s="1" t="s">
        <v>47</v>
      </c>
      <c r="B32" s="1" t="s">
        <v>48</v>
      </c>
      <c r="C32" s="28">
        <f>C30</f>
        <v>50</v>
      </c>
      <c r="D32" s="28">
        <f>2*C30</f>
        <v>100</v>
      </c>
      <c r="E32" s="17">
        <f>G30</f>
        <v>3</v>
      </c>
      <c r="F32" s="17">
        <f>2*G30</f>
        <v>6</v>
      </c>
      <c r="G32" s="29">
        <f>ROUNDUP((E32+F32)/2,0)</f>
        <v>5</v>
      </c>
      <c r="L32" s="73" t="s">
        <v>82</v>
      </c>
      <c r="M32" s="74" t="str">
        <f>DEC2HEX(M11*M7)</f>
        <v>870</v>
      </c>
      <c r="N32" s="75" t="s">
        <v>83</v>
      </c>
      <c r="O32" s="76"/>
      <c r="P32" s="76"/>
      <c r="Q32" s="77"/>
    </row>
    <row r="33" spans="1:17" ht="14.25" thickBot="1" x14ac:dyDescent="0.2">
      <c r="A33" s="1" t="s">
        <v>49</v>
      </c>
      <c r="B33" s="1" t="s">
        <v>50</v>
      </c>
      <c r="C33" s="33">
        <f>4*C30</f>
        <v>200</v>
      </c>
      <c r="D33" s="34"/>
      <c r="E33" s="35">
        <f>4*G30</f>
        <v>12</v>
      </c>
      <c r="F33" s="36"/>
      <c r="G33" s="29">
        <f>E33</f>
        <v>12</v>
      </c>
      <c r="L33" s="78" t="s">
        <v>84</v>
      </c>
      <c r="M33" s="79" t="str">
        <f>DEC2HEX(M10*M7-12-(G23+G30+G19+G20)*B8)</f>
        <v>3A</v>
      </c>
      <c r="N33" s="60" t="s">
        <v>89</v>
      </c>
      <c r="O33" s="61"/>
      <c r="P33" s="61"/>
      <c r="Q33" s="62"/>
    </row>
  </sheetData>
  <mergeCells count="30">
    <mergeCell ref="N33:Q33"/>
    <mergeCell ref="L6:M6"/>
    <mergeCell ref="L17:Q17"/>
    <mergeCell ref="L18:Q18"/>
    <mergeCell ref="N19:Q19"/>
    <mergeCell ref="N20:Q20"/>
    <mergeCell ref="H21:J21"/>
    <mergeCell ref="H26:J26"/>
    <mergeCell ref="N21:Q21"/>
    <mergeCell ref="N22:Q22"/>
    <mergeCell ref="N23:Q23"/>
    <mergeCell ref="N24:Q24"/>
    <mergeCell ref="L26:Q26"/>
    <mergeCell ref="L27:Q27"/>
    <mergeCell ref="N28:Q28"/>
    <mergeCell ref="N29:Q29"/>
    <mergeCell ref="N30:Q30"/>
    <mergeCell ref="N31:Q31"/>
    <mergeCell ref="N32:Q32"/>
    <mergeCell ref="C31:D31"/>
    <mergeCell ref="C33:D33"/>
    <mergeCell ref="E31:F31"/>
    <mergeCell ref="E33:F33"/>
    <mergeCell ref="A2:C2"/>
    <mergeCell ref="A3:C3"/>
    <mergeCell ref="F2:I2"/>
    <mergeCell ref="F3:I3"/>
    <mergeCell ref="F4:I4"/>
    <mergeCell ref="C16:D16"/>
    <mergeCell ref="E16:F16"/>
  </mergeCells>
  <phoneticPr fontId="1" type="noConversion"/>
  <conditionalFormatting sqref="M21:M24">
    <cfRule type="cellIs" dxfId="0" priority="3" operator="lessThan">
      <formula>0</formula>
    </cfRule>
    <cfRule type="cellIs" dxfId="1" priority="1" operator="lessThan">
      <formula>0</formula>
    </cfRule>
  </conditionalFormatting>
  <conditionalFormatting sqref="M31:M33">
    <cfRule type="cellIs" dxfId="6" priority="2" operator="lessThan">
      <formula>0</formula>
    </cfRule>
  </conditionalFormatting>
  <dataValidations count="1">
    <dataValidation type="list" allowBlank="1" showInputMessage="1" showErrorMessage="1" sqref="B9">
      <formula1>$D$13:$G$13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TimingCheck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2024-04-15T06:09:59Z</dcterms:modified>
</cp:coreProperties>
</file>